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4000" windowHeight="15000"/>
  </bookViews>
  <sheets>
    <sheet name="About" sheetId="1" r:id="rId1"/>
    <sheet name="Payoff" sheetId="2" r:id="rId2"/>
    <sheet name="Two Legs" sheetId="3" r:id="rId3"/>
  </sheets>
  <calcPr calcId="124519" fullCalcOnLoad="1"/>
</workbook>
</file>

<file path=xl/sharedStrings.xml><?xml version="1.0" encoding="utf-8"?>
<sst xmlns="http://schemas.openxmlformats.org/spreadsheetml/2006/main" count="76" uniqueCount="65">
  <si>
    <t>akram.education</t>
  </si>
  <si>
    <t>Option payoff and profit builder (blank)</t>
  </si>
  <si>
    <t>FIN 4533  Derivative Securities</t>
  </si>
  <si>
    <t>Florida Gulf Coast University</t>
  </si>
  <si>
    <t>What this workbook is for</t>
  </si>
  <si>
    <t>Build, one formula at a time, the payoff and profit at expiry of a single call or put and of a two-leg combination such as a spread. The structure is in place; the payoff and profit formulas are yours to write.</t>
  </si>
  <si>
    <t>How to use it</t>
  </si>
  <si>
    <t>The inputs, the price grid and the chart are set up. The Payoff and Profit columns on the Payoff sheet (outlined, columns E and F) are empty: you write them.</t>
  </si>
  <si>
    <t>Payoff column: start with a long call in E5, =MAX(D5-$B$6,0), and fill down. Then make it handle every position: multiply by the sign in $B$12, and test RIGHT($B$5,4)="Call" inside an IF to choose MAX(S_T - K, 0) or MAX(K - S_T, 0).</t>
  </si>
  <si>
    <t>Profit column: payoff plus the initial cash flow in $B$13. Fill down. The chart draws itself as the columns fill.</t>
  </si>
  <si>
    <t>Now pick each of the four positions from the list in B5 and check the chart: breakeven should sit at K + premium for a call and K - premium for a put.</t>
  </si>
  <si>
    <t>Two Legs sheet: fill the Leg 1 and Leg 2 payoff columns the same way, add them for the combined payoff, and subtract the net cost in $B$19 for the combined profit.</t>
  </si>
  <si>
    <t>Check your work against payoff-builder-complete.xlsx.</t>
  </si>
  <si>
    <t>Sheets</t>
  </si>
  <si>
    <t>Payoff</t>
  </si>
  <si>
    <t>One position (long or short, call or put): inputs, a 41-point grid of stock prices at expiry, payoff and profit columns, and the chart.</t>
  </si>
  <si>
    <t>Two Legs</t>
  </si>
  <si>
    <t>Two positions combined, for spreads, straddles and strangles.</t>
  </si>
  <si>
    <t>Colour key</t>
  </si>
  <si>
    <t>Input: blue on pale yellow. Change these and the workbook recalculates.</t>
  </si>
  <si>
    <t>Formula: black. Calculated from the inputs; no need to type over it.</t>
  </si>
  <si>
    <t>Note</t>
  </si>
  <si>
    <t>Note: grey italic. Explanation only.</t>
  </si>
  <si>
    <t>Header</t>
  </si>
  <si>
    <t>Header row: white bold on teal.</t>
  </si>
  <si>
    <t>Empty outlined cell: a formula for you to write.</t>
  </si>
  <si>
    <t>About this file</t>
  </si>
  <si>
    <t>Version</t>
  </si>
  <si>
    <t>1.0</t>
  </si>
  <si>
    <t>Date</t>
  </si>
  <si>
    <t>October 2026</t>
  </si>
  <si>
    <t>Author</t>
  </si>
  <si>
    <t>Akram Ayyash, akram.education</t>
  </si>
  <si>
    <t>My own material, free to use for learning. Not an official FGCU document.</t>
  </si>
  <si>
    <t>Option payoff and profit at expiry</t>
  </si>
  <si>
    <t>Change the blue cells. Choose the position from the list in B5.</t>
  </si>
  <si>
    <t>Inputs</t>
  </si>
  <si>
    <t>Position</t>
  </si>
  <si>
    <t>Long Call</t>
  </si>
  <si>
    <t>Strike, K</t>
  </si>
  <si>
    <t>Premium</t>
  </si>
  <si>
    <t>Lowest S_T (multiple of K)</t>
  </si>
  <si>
    <t>Highest S_T (multiple of K)</t>
  </si>
  <si>
    <t>Derived</t>
  </si>
  <si>
    <t>Long (+1) or short (-1)</t>
  </si>
  <si>
    <t>Initial cash flow</t>
  </si>
  <si>
    <t>Step between prices</t>
  </si>
  <si>
    <t>Breakeven S_T</t>
  </si>
  <si>
    <t>S_T</t>
  </si>
  <si>
    <t>Profit</t>
  </si>
  <si>
    <t>Zero line</t>
  </si>
  <si>
    <t>Two-leg combination</t>
  </si>
  <si>
    <t>Same machinery, two positions added together. Opens on a bull call spread.</t>
  </si>
  <si>
    <t>Leg 1</t>
  </si>
  <si>
    <t>Strike</t>
  </si>
  <si>
    <t>Leg 2</t>
  </si>
  <si>
    <t>Short Call</t>
  </si>
  <si>
    <t>Price grid</t>
  </si>
  <si>
    <t>Lowest S_T (multiple of Leg 1 K)</t>
  </si>
  <si>
    <t>Highest S_T (multiple of Leg 1 K)</t>
  </si>
  <si>
    <t>Net cost (debit +, credit -)</t>
  </si>
  <si>
    <t>Leg 1 payoff</t>
  </si>
  <si>
    <t>Leg 2 payoff</t>
  </si>
  <si>
    <t>Combined payoff</t>
  </si>
  <si>
    <t>Combined profit</t>
  </si>
</sst>
</file>

<file path=xl/styles.xml><?xml version="1.0" encoding="utf-8"?>
<styleSheet xmlns="http://schemas.openxmlformats.org/spreadsheetml/2006/main">
  <numFmts count="3">
    <numFmt numFmtId="164" formatCode="#,##0;-#,##0"/>
    <numFmt numFmtId="165" formatCode="#,##0.00;-#,##0.00"/>
    <numFmt numFmtId="166" formatCode="$#,##0.00;-$#,##0.00"/>
  </numFmts>
  <fonts count="9">
    <font>
      <sz val="11"/>
      <color theme="1"/>
      <name val="Calibri"/>
      <family val="2"/>
      <scheme val="minor"/>
    </font>
    <font>
      <b/>
      <sz val="11"/>
      <color rgb="FF2C7873"/>
      <name val="Calibri"/>
      <family val="2"/>
      <scheme val="minor"/>
    </font>
    <font>
      <b/>
      <sz val="14"/>
      <color rgb="FF14232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4E9F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5B6B6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C7873"/>
        <bgColor indexed="64"/>
      </patternFill>
    </fill>
    <fill>
      <patternFill patternType="solid">
        <fgColor rgb="FFFFF7D6"/>
        <bgColor indexed="64"/>
      </patternFill>
    </fill>
  </fills>
  <borders count="3">
    <border>
      <left/>
      <right/>
      <top/>
      <bottom/>
      <diagonal/>
    </border>
    <border>
      <left style="thin">
        <color rgb="FFD6DFDC"/>
      </left>
      <right style="thin">
        <color rgb="FFD6DFDC"/>
      </right>
      <top style="thin">
        <color rgb="FFD6DFDC"/>
      </top>
      <bottom style="thin">
        <color rgb="FFD6DFDC"/>
      </bottom>
      <diagonal/>
    </border>
    <border>
      <left/>
      <right/>
      <top style="thin">
        <color rgb="FF1423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/>
    <xf numFmtId="0" fontId="4" fillId="2" borderId="0" xfId="0" applyFont="1" applyFill="1" applyAlignment="1">
      <alignment horizontal="left"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164" fontId="5" fillId="3" borderId="1" xfId="0" applyNumberFormat="1" applyFont="1" applyFill="1" applyBorder="1"/>
    <xf numFmtId="164" fontId="6" fillId="0" borderId="0" xfId="0" applyNumberFormat="1" applyFont="1"/>
    <xf numFmtId="0" fontId="7" fillId="0" borderId="0" xfId="0" applyFont="1"/>
    <xf numFmtId="0" fontId="6" fillId="0" borderId="1" xfId="0" applyFont="1" applyBorder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165" fontId="6" fillId="0" borderId="1" xfId="0" applyNumberFormat="1" applyFont="1" applyBorder="1"/>
    <xf numFmtId="166" fontId="5" fillId="3" borderId="1" xfId="0" applyNumberFormat="1" applyFont="1" applyFill="1" applyBorder="1"/>
    <xf numFmtId="165" fontId="5" fillId="3" borderId="1" xfId="0" applyNumberFormat="1" applyFont="1" applyFill="1" applyBorder="1"/>
    <xf numFmtId="1" fontId="6" fillId="0" borderId="0" xfId="0" applyNumberFormat="1" applyFont="1"/>
    <xf numFmtId="166" fontId="6" fillId="0" borderId="0" xfId="0" applyNumberFormat="1" applyFont="1"/>
    <xf numFmtId="166" fontId="8" fillId="0" borderId="2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42321"/>
                </a:solidFill>
                <a:latin typeface="Calibri"/>
              </a:defRPr>
            </a:pPr>
            <a:r>
              <a:rPr lang="en-US" sz="1200" b="1" baseline="0">
                <a:solidFill>
                  <a:srgbClr val="142321"/>
                </a:solidFill>
                <a:latin typeface="Calibri"/>
              </a:rPr>
              <a:t>Payoff and profit at expiry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Payoff</c:v>
          </c:tx>
          <c:spPr>
            <a:ln w="25400">
              <a:solidFill>
                <a:srgbClr val="142321"/>
              </a:solidFill>
              <a:prstDash val="solid"/>
            </a:ln>
          </c:spPr>
          <c:marker>
            <c:symbol val="none"/>
          </c:marker>
          <c:xVal>
            <c:numRef>
              <c:f>Payoff!$D$5:$D$45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Payoff!$E$5:$E$45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ser>
          <c:idx val="1"/>
          <c:order val="1"/>
          <c:tx>
            <c:v>Profit</c:v>
          </c:tx>
          <c:spPr>
            <a:ln w="31750">
              <a:solidFill>
                <a:srgbClr val="2C7873"/>
              </a:solidFill>
              <a:prstDash val="solid"/>
            </a:ln>
          </c:spPr>
          <c:marker>
            <c:symbol val="none"/>
          </c:marker>
          <c:xVal>
            <c:numRef>
              <c:f>Payoff!$D$5:$D$45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Payoff!$F$5:$F$45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ser>
          <c:idx val="2"/>
          <c:order val="2"/>
          <c:tx>
            <c:v>Zero</c:v>
          </c:tx>
          <c:spPr>
            <a:ln w="12700">
              <a:solidFill>
                <a:srgbClr val="5B6B68"/>
              </a:solidFill>
              <a:prstDash val="dash"/>
            </a:ln>
          </c:spPr>
          <c:marker>
            <c:symbol val="none"/>
          </c:marker>
          <c:xVal>
            <c:numRef>
              <c:f>Payoff!$D$5:$D$45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Payoff!$G$5:$G$45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axId val="50010001"/>
        <c:axId val="50010002"/>
      </c:scatterChart>
      <c:valAx>
        <c:axId val="5001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Stock price at expiry, S_T</a:t>
                </a:r>
              </a:p>
            </c:rich>
          </c:tx>
          <c:layout/>
        </c:title>
        <c:numFmt formatCode="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10002"/>
        <c:crosses val="autoZero"/>
        <c:crossBetween val="midCat"/>
      </c:val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D6DFDC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$ per share</a:t>
                </a:r>
              </a:p>
            </c:rich>
          </c:tx>
          <c:layout/>
        </c:title>
        <c:numFmt formatCode="#,##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10001"/>
        <c:crosses val="autoZero"/>
        <c:crossBetween val="midCat"/>
      </c:valAx>
    </c:plotArea>
    <c:legend>
      <c:legendPos val="b"/>
      <c:layout/>
      <c:txPr>
        <a:bodyPr/>
        <a:lstStyle/>
        <a:p>
          <a:pPr>
            <a:defRPr sz="1000" baseline="0">
              <a:solidFill>
                <a:srgbClr val="142321"/>
              </a:solidFill>
              <a:latin typeface="Calibri"/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42321"/>
                </a:solidFill>
                <a:latin typeface="Calibri"/>
              </a:defRPr>
            </a:pPr>
            <a:r>
              <a:rPr lang="en-US" sz="1200" b="1" baseline="0">
                <a:solidFill>
                  <a:srgbClr val="142321"/>
                </a:solidFill>
                <a:latin typeface="Calibri"/>
              </a:rPr>
              <a:t>Two-leg combination at expiry</a:t>
            </a:r>
          </a:p>
        </c:rich>
      </c:tx>
      <c:layout/>
    </c:title>
    <c:plotArea>
      <c:layout/>
      <c:scatterChart>
        <c:scatterStyle val="lineMarker"/>
        <c:ser>
          <c:idx val="0"/>
          <c:order val="0"/>
          <c:tx>
            <c:v>Combined payoff</c:v>
          </c:tx>
          <c:spPr>
            <a:ln w="25400">
              <a:solidFill>
                <a:srgbClr val="142321"/>
              </a:solidFill>
              <a:prstDash val="solid"/>
            </a:ln>
          </c:spPr>
          <c:marker>
            <c:symbol val="none"/>
          </c:marker>
          <c:xVal>
            <c:numRef>
              <c:f>'Two Legs'!$D$5:$D$45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'Two Legs'!$G$5:$G$45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ser>
          <c:idx val="1"/>
          <c:order val="1"/>
          <c:tx>
            <c:v>Combined profit</c:v>
          </c:tx>
          <c:spPr>
            <a:ln w="31750">
              <a:solidFill>
                <a:srgbClr val="2C7873"/>
              </a:solidFill>
              <a:prstDash val="solid"/>
            </a:ln>
          </c:spPr>
          <c:marker>
            <c:symbol val="none"/>
          </c:marker>
          <c:xVal>
            <c:numRef>
              <c:f>'Two Legs'!$D$5:$D$45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'Two Legs'!$H$5:$H$45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ser>
          <c:idx val="2"/>
          <c:order val="2"/>
          <c:tx>
            <c:v>Zero</c:v>
          </c:tx>
          <c:spPr>
            <a:ln w="12700">
              <a:solidFill>
                <a:srgbClr val="5B6B68"/>
              </a:solidFill>
              <a:prstDash val="dash"/>
            </a:ln>
          </c:spPr>
          <c:marker>
            <c:symbol val="none"/>
          </c:marker>
          <c:xVal>
            <c:numRef>
              <c:f>'Two Legs'!$D$5:$D$45</c:f>
              <c:numCache>
                <c:formatCode>General</c:formatCode>
                <c:ptCount val="41"/>
                <c:pt idx="0">
                  <c:v>25.0</c:v>
                </c:pt>
                <c:pt idx="1">
                  <c:v>26.25</c:v>
                </c:pt>
                <c:pt idx="2">
                  <c:v>27.5</c:v>
                </c:pt>
                <c:pt idx="3">
                  <c:v>28.75</c:v>
                </c:pt>
                <c:pt idx="4">
                  <c:v>30.0</c:v>
                </c:pt>
                <c:pt idx="5">
                  <c:v>31.25</c:v>
                </c:pt>
                <c:pt idx="6">
                  <c:v>32.5</c:v>
                </c:pt>
                <c:pt idx="7">
                  <c:v>33.75</c:v>
                </c:pt>
                <c:pt idx="8">
                  <c:v>35.0</c:v>
                </c:pt>
                <c:pt idx="9">
                  <c:v>36.25</c:v>
                </c:pt>
                <c:pt idx="10">
                  <c:v>37.5</c:v>
                </c:pt>
                <c:pt idx="11">
                  <c:v>38.75</c:v>
                </c:pt>
                <c:pt idx="12">
                  <c:v>40.0</c:v>
                </c:pt>
                <c:pt idx="13">
                  <c:v>41.25</c:v>
                </c:pt>
                <c:pt idx="14">
                  <c:v>42.5</c:v>
                </c:pt>
                <c:pt idx="15">
                  <c:v>43.75</c:v>
                </c:pt>
                <c:pt idx="16">
                  <c:v>45.0</c:v>
                </c:pt>
                <c:pt idx="17">
                  <c:v>46.25</c:v>
                </c:pt>
                <c:pt idx="18">
                  <c:v>47.5</c:v>
                </c:pt>
                <c:pt idx="19">
                  <c:v>48.75</c:v>
                </c:pt>
                <c:pt idx="20">
                  <c:v>50.0</c:v>
                </c:pt>
                <c:pt idx="21">
                  <c:v>51.25</c:v>
                </c:pt>
                <c:pt idx="22">
                  <c:v>52.5</c:v>
                </c:pt>
                <c:pt idx="23">
                  <c:v>53.75</c:v>
                </c:pt>
                <c:pt idx="24">
                  <c:v>55.0</c:v>
                </c:pt>
                <c:pt idx="25">
                  <c:v>56.25</c:v>
                </c:pt>
                <c:pt idx="26">
                  <c:v>57.5</c:v>
                </c:pt>
                <c:pt idx="27">
                  <c:v>58.75</c:v>
                </c:pt>
                <c:pt idx="28">
                  <c:v>60.0</c:v>
                </c:pt>
                <c:pt idx="29">
                  <c:v>61.25</c:v>
                </c:pt>
                <c:pt idx="30">
                  <c:v>62.5</c:v>
                </c:pt>
                <c:pt idx="31">
                  <c:v>63.75</c:v>
                </c:pt>
                <c:pt idx="32">
                  <c:v>65.0</c:v>
                </c:pt>
                <c:pt idx="33">
                  <c:v>66.25</c:v>
                </c:pt>
                <c:pt idx="34">
                  <c:v>67.5</c:v>
                </c:pt>
                <c:pt idx="35">
                  <c:v>68.75</c:v>
                </c:pt>
                <c:pt idx="36">
                  <c:v>70.0</c:v>
                </c:pt>
                <c:pt idx="37">
                  <c:v>71.25</c:v>
                </c:pt>
                <c:pt idx="38">
                  <c:v>72.5</c:v>
                </c:pt>
                <c:pt idx="39">
                  <c:v>73.75</c:v>
                </c:pt>
                <c:pt idx="40">
                  <c:v>75.0</c:v>
                </c:pt>
              </c:numCache>
            </c:numRef>
          </c:xVal>
          <c:yVal>
            <c:numRef>
              <c:f>'Two Legs'!$I$5:$I$45</c:f>
              <c:numCache>
                <c:formatCode>General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</c:numCache>
            </c:numRef>
          </c:yVal>
        </c:ser>
        <c:axId val="50020001"/>
        <c:axId val="50020002"/>
      </c:scatterChart>
      <c:valAx>
        <c:axId val="50020001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Stock price at expiry, S_T</a:t>
                </a:r>
              </a:p>
            </c:rich>
          </c:tx>
          <c:layout/>
        </c:title>
        <c:numFmt formatCode="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20002"/>
        <c:crosses val="autoZero"/>
        <c:crossBetween val="midCat"/>
      </c:valAx>
      <c:valAx>
        <c:axId val="50020002"/>
        <c:scaling>
          <c:orientation val="minMax"/>
        </c:scaling>
        <c:axPos val="l"/>
        <c:majorGridlines>
          <c:spPr>
            <a:ln>
              <a:solidFill>
                <a:srgbClr val="D6DFDC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000" baseline="0">
                    <a:solidFill>
                      <a:srgbClr val="142321"/>
                    </a:solidFill>
                    <a:latin typeface="Calibri"/>
                  </a:defRPr>
                </a:pPr>
                <a:r>
                  <a:rPr lang="en-US" sz="1000" baseline="0">
                    <a:solidFill>
                      <a:srgbClr val="142321"/>
                    </a:solidFill>
                    <a:latin typeface="Calibri"/>
                  </a:rPr>
                  <a:t>$ per share</a:t>
                </a:r>
              </a:p>
            </c:rich>
          </c:tx>
          <c:layout/>
        </c:title>
        <c:numFmt formatCode="#,##0" sourceLinked="0"/>
        <c:tickLblPos val="nextTo"/>
        <c:spPr>
          <a:ln>
            <a:solidFill>
              <a:srgbClr val="D6DFDC"/>
            </a:solidFill>
          </a:ln>
        </c:spPr>
        <c:txPr>
          <a:bodyPr/>
          <a:lstStyle/>
          <a:p>
            <a:pPr>
              <a:defRPr sz="1000" baseline="0">
                <a:solidFill>
                  <a:srgbClr val="142321"/>
                </a:solidFill>
                <a:latin typeface="Calibri"/>
              </a:defRPr>
            </a:pPr>
            <a:endParaRPr lang="en-US"/>
          </a:p>
        </c:txPr>
        <c:crossAx val="50020001"/>
        <c:crosses val="autoZero"/>
        <c:crossBetween val="midCat"/>
      </c:valAx>
    </c:plotArea>
    <c:legend>
      <c:legendPos val="b"/>
      <c:layout/>
      <c:txPr>
        <a:bodyPr/>
        <a:lstStyle/>
        <a:p>
          <a:pPr>
            <a:defRPr sz="1000" baseline="0">
              <a:solidFill>
                <a:srgbClr val="142321"/>
              </a:solidFill>
              <a:latin typeface="Calibri"/>
            </a:defRPr>
          </a:pPr>
          <a:endParaRPr lang="en-US"/>
        </a:p>
      </c:txPr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3</xdr:row>
      <xdr:rowOff>0</xdr:rowOff>
    </xdr:from>
    <xdr:to>
      <xdr:col>17</xdr:col>
      <xdr:colOff>142875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3</xdr:row>
      <xdr:rowOff>0</xdr:rowOff>
    </xdr:from>
    <xdr:to>
      <xdr:col>19</xdr:col>
      <xdr:colOff>142875</xdr:colOff>
      <xdr:row>22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C7873"/>
  </sheetPr>
  <dimension ref="B2:C34"/>
  <sheetViews>
    <sheetView showGridLines="0" tabSelected="1" workbookViewId="0"/>
  </sheetViews>
  <sheetFormatPr defaultRowHeight="15"/>
  <cols>
    <col min="1" max="1" width="3.7109375" customWidth="1"/>
    <col min="2" max="2" width="24.7109375" customWidth="1"/>
    <col min="3" max="3" width="92.7109375" customWidth="1"/>
  </cols>
  <sheetData>
    <row r="2" spans="2:3">
      <c r="B2" s="1" t="s">
        <v>0</v>
      </c>
    </row>
    <row r="3" spans="2:3" ht="21" customHeight="1">
      <c r="B3" s="2" t="s">
        <v>1</v>
      </c>
    </row>
    <row r="4" spans="2:3">
      <c r="B4" s="3" t="s">
        <v>2</v>
      </c>
    </row>
    <row r="5" spans="2:3">
      <c r="B5" s="4" t="s">
        <v>3</v>
      </c>
    </row>
    <row r="7" spans="2:3">
      <c r="B7" s="5" t="s">
        <v>4</v>
      </c>
      <c r="C7" s="5"/>
    </row>
    <row r="8" spans="2:3" ht="33" customHeight="1">
      <c r="B8" s="6" t="s">
        <v>5</v>
      </c>
      <c r="C8" s="6"/>
    </row>
    <row r="10" spans="2:3">
      <c r="B10" s="5" t="s">
        <v>6</v>
      </c>
      <c r="C10" s="5"/>
    </row>
    <row r="11" spans="2:3" ht="33" customHeight="1">
      <c r="B11" s="6" t="s">
        <v>7</v>
      </c>
      <c r="C11" s="6"/>
    </row>
    <row r="12" spans="2:3" ht="33" customHeight="1">
      <c r="B12" s="6" t="s">
        <v>8</v>
      </c>
      <c r="C12" s="6"/>
    </row>
    <row r="13" spans="2:3" ht="18" customHeight="1">
      <c r="B13" s="6" t="s">
        <v>9</v>
      </c>
      <c r="C13" s="6"/>
    </row>
    <row r="14" spans="2:3" ht="33" customHeight="1">
      <c r="B14" s="6" t="s">
        <v>10</v>
      </c>
      <c r="C14" s="6"/>
    </row>
    <row r="15" spans="2:3" ht="33" customHeight="1">
      <c r="B15" s="6" t="s">
        <v>11</v>
      </c>
      <c r="C15" s="6"/>
    </row>
    <row r="16" spans="2:3" ht="18" customHeight="1">
      <c r="B16" s="6" t="s">
        <v>12</v>
      </c>
      <c r="C16" s="6"/>
    </row>
    <row r="18" spans="2:3">
      <c r="B18" s="5" t="s">
        <v>13</v>
      </c>
      <c r="C18" s="5"/>
    </row>
    <row r="19" spans="2:3" ht="33" customHeight="1">
      <c r="B19" s="7" t="s">
        <v>14</v>
      </c>
      <c r="C19" s="6" t="s">
        <v>15</v>
      </c>
    </row>
    <row r="20" spans="2:3" ht="18" customHeight="1">
      <c r="B20" s="7" t="s">
        <v>16</v>
      </c>
      <c r="C20" s="6" t="s">
        <v>17</v>
      </c>
    </row>
    <row r="22" spans="2:3">
      <c r="B22" s="5" t="s">
        <v>18</v>
      </c>
      <c r="C22" s="5"/>
    </row>
    <row r="23" spans="2:3">
      <c r="B23" s="8">
        <v>1000</v>
      </c>
      <c r="C23" s="6" t="s">
        <v>19</v>
      </c>
    </row>
    <row r="24" spans="2:3">
      <c r="B24" s="9">
        <f>B23*2</f>
        <v>2000</v>
      </c>
      <c r="C24" s="6" t="s">
        <v>20</v>
      </c>
    </row>
    <row r="25" spans="2:3">
      <c r="B25" s="10" t="s">
        <v>21</v>
      </c>
      <c r="C25" s="6" t="s">
        <v>22</v>
      </c>
    </row>
    <row r="26" spans="2:3">
      <c r="B26" s="5" t="s">
        <v>23</v>
      </c>
      <c r="C26" s="6" t="s">
        <v>24</v>
      </c>
    </row>
    <row r="27" spans="2:3">
      <c r="B27" s="11"/>
      <c r="C27" s="6" t="s">
        <v>25</v>
      </c>
    </row>
    <row r="29" spans="2:3">
      <c r="B29" s="5" t="s">
        <v>26</v>
      </c>
      <c r="C29" s="5"/>
    </row>
    <row r="30" spans="2:3">
      <c r="B30" s="3" t="s">
        <v>27</v>
      </c>
      <c r="C30" s="12" t="s">
        <v>28</v>
      </c>
    </row>
    <row r="31" spans="2:3">
      <c r="B31" s="3" t="s">
        <v>29</v>
      </c>
      <c r="C31" s="4" t="s">
        <v>30</v>
      </c>
    </row>
    <row r="32" spans="2:3">
      <c r="B32" s="3" t="s">
        <v>31</v>
      </c>
      <c r="C32" s="4" t="s">
        <v>32</v>
      </c>
    </row>
    <row r="34" spans="2:3">
      <c r="B34" s="10" t="s">
        <v>33</v>
      </c>
      <c r="C34" s="10"/>
    </row>
  </sheetData>
  <mergeCells count="8">
    <mergeCell ref="B8:C8"/>
    <mergeCell ref="B11:C11"/>
    <mergeCell ref="B12:C12"/>
    <mergeCell ref="B13:C13"/>
    <mergeCell ref="B14:C14"/>
    <mergeCell ref="B15:C15"/>
    <mergeCell ref="B16:C16"/>
    <mergeCell ref="B34:C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4.7109375" customWidth="1"/>
    <col min="3" max="3" width="3.7109375" customWidth="1"/>
    <col min="4" max="9" width="14.7109375" customWidth="1"/>
  </cols>
  <sheetData>
    <row r="1" spans="1:7" ht="21" customHeight="1">
      <c r="A1" s="2" t="s">
        <v>34</v>
      </c>
    </row>
    <row r="2" spans="1:7">
      <c r="A2" s="10" t="s">
        <v>35</v>
      </c>
    </row>
    <row r="4" spans="1:7">
      <c r="A4" s="5" t="s">
        <v>36</v>
      </c>
      <c r="B4" s="5"/>
      <c r="D4" s="13" t="s">
        <v>48</v>
      </c>
      <c r="E4" s="13" t="s">
        <v>14</v>
      </c>
      <c r="F4" s="13" t="s">
        <v>49</v>
      </c>
      <c r="G4" s="13" t="s">
        <v>50</v>
      </c>
    </row>
    <row r="5" spans="1:7">
      <c r="A5" s="4" t="s">
        <v>37</v>
      </c>
      <c r="B5" s="14" t="s">
        <v>38</v>
      </c>
      <c r="D5" s="15">
        <f>$B$8*$B$6+0*$B$14</f>
        <v>25.0</v>
      </c>
      <c r="E5" s="15"/>
      <c r="F5" s="15"/>
      <c r="G5" s="15">
        <v>0</v>
      </c>
    </row>
    <row r="6" spans="1:7">
      <c r="A6" s="4" t="s">
        <v>39</v>
      </c>
      <c r="B6" s="16">
        <v>50</v>
      </c>
      <c r="D6" s="15">
        <f>$B$8*$B$6+1*$B$14</f>
        <v>26.25</v>
      </c>
      <c r="E6" s="15"/>
      <c r="F6" s="15"/>
      <c r="G6" s="15">
        <v>0</v>
      </c>
    </row>
    <row r="7" spans="1:7">
      <c r="A7" s="4" t="s">
        <v>40</v>
      </c>
      <c r="B7" s="16">
        <v>4</v>
      </c>
      <c r="D7" s="15">
        <f>$B$8*$B$6+2*$B$14</f>
        <v>27.5</v>
      </c>
      <c r="E7" s="15"/>
      <c r="F7" s="15"/>
      <c r="G7" s="15">
        <v>0</v>
      </c>
    </row>
    <row r="8" spans="1:7">
      <c r="A8" s="4" t="s">
        <v>41</v>
      </c>
      <c r="B8" s="17">
        <v>0.5</v>
      </c>
      <c r="D8" s="15">
        <f>$B$8*$B$6+3*$B$14</f>
        <v>28.75</v>
      </c>
      <c r="E8" s="15"/>
      <c r="F8" s="15"/>
      <c r="G8" s="15">
        <v>0</v>
      </c>
    </row>
    <row r="9" spans="1:7">
      <c r="A9" s="4" t="s">
        <v>42</v>
      </c>
      <c r="B9" s="17">
        <v>1.5</v>
      </c>
      <c r="D9" s="15">
        <f>$B$8*$B$6+4*$B$14</f>
        <v>30.0</v>
      </c>
      <c r="E9" s="15"/>
      <c r="F9" s="15"/>
      <c r="G9" s="15">
        <v>0</v>
      </c>
    </row>
    <row r="10" spans="1:7">
      <c r="D10" s="15">
        <f>$B$8*$B$6+5*$B$14</f>
        <v>31.25</v>
      </c>
      <c r="E10" s="15"/>
      <c r="F10" s="15"/>
      <c r="G10" s="15">
        <v>0</v>
      </c>
    </row>
    <row r="11" spans="1:7">
      <c r="A11" s="5" t="s">
        <v>43</v>
      </c>
      <c r="B11" s="5"/>
      <c r="D11" s="15">
        <f>$B$8*$B$6+6*$B$14</f>
        <v>32.5</v>
      </c>
      <c r="E11" s="15"/>
      <c r="F11" s="15"/>
      <c r="G11" s="15">
        <v>0</v>
      </c>
    </row>
    <row r="12" spans="1:7">
      <c r="A12" s="4" t="s">
        <v>44</v>
      </c>
      <c r="B12" s="18">
        <f>IF(LEFT($B$5,4)="Long",1,-1)</f>
        <v>1</v>
      </c>
      <c r="D12" s="15">
        <f>$B$8*$B$6+7*$B$14</f>
        <v>33.75</v>
      </c>
      <c r="E12" s="15"/>
      <c r="F12" s="15"/>
      <c r="G12" s="15">
        <v>0</v>
      </c>
    </row>
    <row r="13" spans="1:7">
      <c r="A13" s="4" t="s">
        <v>45</v>
      </c>
      <c r="B13" s="19">
        <f>-$B$12*$B$7</f>
        <v>-4.0</v>
      </c>
      <c r="D13" s="15">
        <f>$B$8*$B$6+8*$B$14</f>
        <v>35.0</v>
      </c>
      <c r="E13" s="15"/>
      <c r="F13" s="15"/>
      <c r="G13" s="15">
        <v>0</v>
      </c>
    </row>
    <row r="14" spans="1:7">
      <c r="A14" s="4" t="s">
        <v>46</v>
      </c>
      <c r="B14" s="19">
        <f>($B$9-$B$8)*$B$6/40</f>
        <v>1.25</v>
      </c>
      <c r="D14" s="15">
        <f>$B$8*$B$6+9*$B$14</f>
        <v>36.25</v>
      </c>
      <c r="E14" s="15"/>
      <c r="F14" s="15"/>
      <c r="G14" s="15">
        <v>0</v>
      </c>
    </row>
    <row r="15" spans="1:7">
      <c r="A15" s="4" t="s">
        <v>47</v>
      </c>
      <c r="B15" s="20">
        <f>IF(RIGHT($B$5,4)="Call",$B$6+$B$7,$B$6-$B$7)</f>
        <v>54.0</v>
      </c>
      <c r="D15" s="15">
        <f>$B$8*$B$6+10*$B$14</f>
        <v>37.5</v>
      </c>
      <c r="E15" s="15"/>
      <c r="F15" s="15"/>
      <c r="G15" s="15">
        <v>0</v>
      </c>
    </row>
    <row r="16" spans="1:7">
      <c r="D16" s="15">
        <f>$B$8*$B$6+11*$B$14</f>
        <v>38.75</v>
      </c>
      <c r="E16" s="15"/>
      <c r="F16" s="15"/>
      <c r="G16" s="15">
        <v>0</v>
      </c>
    </row>
    <row r="17" spans="4:7">
      <c r="D17" s="15">
        <f>$B$8*$B$6+12*$B$14</f>
        <v>40.0</v>
      </c>
      <c r="E17" s="15"/>
      <c r="F17" s="15"/>
      <c r="G17" s="15">
        <v>0</v>
      </c>
    </row>
    <row r="18" spans="4:7">
      <c r="D18" s="15">
        <f>$B$8*$B$6+13*$B$14</f>
        <v>41.25</v>
      </c>
      <c r="E18" s="15"/>
      <c r="F18" s="15"/>
      <c r="G18" s="15">
        <v>0</v>
      </c>
    </row>
    <row r="19" spans="4:7">
      <c r="D19" s="15">
        <f>$B$8*$B$6+14*$B$14</f>
        <v>42.5</v>
      </c>
      <c r="E19" s="15"/>
      <c r="F19" s="15"/>
      <c r="G19" s="15">
        <v>0</v>
      </c>
    </row>
    <row r="20" spans="4:7">
      <c r="D20" s="15">
        <f>$B$8*$B$6+15*$B$14</f>
        <v>43.75</v>
      </c>
      <c r="E20" s="15"/>
      <c r="F20" s="15"/>
      <c r="G20" s="15">
        <v>0</v>
      </c>
    </row>
    <row r="21" spans="4:7">
      <c r="D21" s="15">
        <f>$B$8*$B$6+16*$B$14</f>
        <v>45.0</v>
      </c>
      <c r="E21" s="15"/>
      <c r="F21" s="15"/>
      <c r="G21" s="15">
        <v>0</v>
      </c>
    </row>
    <row r="22" spans="4:7">
      <c r="D22" s="15">
        <f>$B$8*$B$6+17*$B$14</f>
        <v>46.25</v>
      </c>
      <c r="E22" s="15"/>
      <c r="F22" s="15"/>
      <c r="G22" s="15">
        <v>0</v>
      </c>
    </row>
    <row r="23" spans="4:7">
      <c r="D23" s="15">
        <f>$B$8*$B$6+18*$B$14</f>
        <v>47.5</v>
      </c>
      <c r="E23" s="15"/>
      <c r="F23" s="15"/>
      <c r="G23" s="15">
        <v>0</v>
      </c>
    </row>
    <row r="24" spans="4:7">
      <c r="D24" s="15">
        <f>$B$8*$B$6+19*$B$14</f>
        <v>48.75</v>
      </c>
      <c r="E24" s="15"/>
      <c r="F24" s="15"/>
      <c r="G24" s="15">
        <v>0</v>
      </c>
    </row>
    <row r="25" spans="4:7">
      <c r="D25" s="15">
        <f>$B$8*$B$6+20*$B$14</f>
        <v>50.0</v>
      </c>
      <c r="E25" s="15"/>
      <c r="F25" s="15"/>
      <c r="G25" s="15">
        <v>0</v>
      </c>
    </row>
    <row r="26" spans="4:7">
      <c r="D26" s="15">
        <f>$B$8*$B$6+21*$B$14</f>
        <v>51.25</v>
      </c>
      <c r="E26" s="15"/>
      <c r="F26" s="15"/>
      <c r="G26" s="15">
        <v>0</v>
      </c>
    </row>
    <row r="27" spans="4:7">
      <c r="D27" s="15">
        <f>$B$8*$B$6+22*$B$14</f>
        <v>52.5</v>
      </c>
      <c r="E27" s="15"/>
      <c r="F27" s="15"/>
      <c r="G27" s="15">
        <v>0</v>
      </c>
    </row>
    <row r="28" spans="4:7">
      <c r="D28" s="15">
        <f>$B$8*$B$6+23*$B$14</f>
        <v>53.75</v>
      </c>
      <c r="E28" s="15"/>
      <c r="F28" s="15"/>
      <c r="G28" s="15">
        <v>0</v>
      </c>
    </row>
    <row r="29" spans="4:7">
      <c r="D29" s="15">
        <f>$B$8*$B$6+24*$B$14</f>
        <v>55.0</v>
      </c>
      <c r="E29" s="15"/>
      <c r="F29" s="15"/>
      <c r="G29" s="15">
        <v>0</v>
      </c>
    </row>
    <row r="30" spans="4:7">
      <c r="D30" s="15">
        <f>$B$8*$B$6+25*$B$14</f>
        <v>56.25</v>
      </c>
      <c r="E30" s="15"/>
      <c r="F30" s="15"/>
      <c r="G30" s="15">
        <v>0</v>
      </c>
    </row>
    <row r="31" spans="4:7">
      <c r="D31" s="15">
        <f>$B$8*$B$6+26*$B$14</f>
        <v>57.5</v>
      </c>
      <c r="E31" s="15"/>
      <c r="F31" s="15"/>
      <c r="G31" s="15">
        <v>0</v>
      </c>
    </row>
    <row r="32" spans="4:7">
      <c r="D32" s="15">
        <f>$B$8*$B$6+27*$B$14</f>
        <v>58.75</v>
      </c>
      <c r="E32" s="15"/>
      <c r="F32" s="15"/>
      <c r="G32" s="15">
        <v>0</v>
      </c>
    </row>
    <row r="33" spans="4:7">
      <c r="D33" s="15">
        <f>$B$8*$B$6+28*$B$14</f>
        <v>60.0</v>
      </c>
      <c r="E33" s="15"/>
      <c r="F33" s="15"/>
      <c r="G33" s="15">
        <v>0</v>
      </c>
    </row>
    <row r="34" spans="4:7">
      <c r="D34" s="15">
        <f>$B$8*$B$6+29*$B$14</f>
        <v>61.25</v>
      </c>
      <c r="E34" s="15"/>
      <c r="F34" s="15"/>
      <c r="G34" s="15">
        <v>0</v>
      </c>
    </row>
    <row r="35" spans="4:7">
      <c r="D35" s="15">
        <f>$B$8*$B$6+30*$B$14</f>
        <v>62.5</v>
      </c>
      <c r="E35" s="15"/>
      <c r="F35" s="15"/>
      <c r="G35" s="15">
        <v>0</v>
      </c>
    </row>
    <row r="36" spans="4:7">
      <c r="D36" s="15">
        <f>$B$8*$B$6+31*$B$14</f>
        <v>63.75</v>
      </c>
      <c r="E36" s="15"/>
      <c r="F36" s="15"/>
      <c r="G36" s="15">
        <v>0</v>
      </c>
    </row>
    <row r="37" spans="4:7">
      <c r="D37" s="15">
        <f>$B$8*$B$6+32*$B$14</f>
        <v>65.0</v>
      </c>
      <c r="E37" s="15"/>
      <c r="F37" s="15"/>
      <c r="G37" s="15">
        <v>0</v>
      </c>
    </row>
    <row r="38" spans="4:7">
      <c r="D38" s="15">
        <f>$B$8*$B$6+33*$B$14</f>
        <v>66.25</v>
      </c>
      <c r="E38" s="15"/>
      <c r="F38" s="15"/>
      <c r="G38" s="15">
        <v>0</v>
      </c>
    </row>
    <row r="39" spans="4:7">
      <c r="D39" s="15">
        <f>$B$8*$B$6+34*$B$14</f>
        <v>67.5</v>
      </c>
      <c r="E39" s="15"/>
      <c r="F39" s="15"/>
      <c r="G39" s="15">
        <v>0</v>
      </c>
    </row>
    <row r="40" spans="4:7">
      <c r="D40" s="15">
        <f>$B$8*$B$6+35*$B$14</f>
        <v>68.75</v>
      </c>
      <c r="E40" s="15"/>
      <c r="F40" s="15"/>
      <c r="G40" s="15">
        <v>0</v>
      </c>
    </row>
    <row r="41" spans="4:7">
      <c r="D41" s="15">
        <f>$B$8*$B$6+36*$B$14</f>
        <v>70.0</v>
      </c>
      <c r="E41" s="15"/>
      <c r="F41" s="15"/>
      <c r="G41" s="15">
        <v>0</v>
      </c>
    </row>
    <row r="42" spans="4:7">
      <c r="D42" s="15">
        <f>$B$8*$B$6+37*$B$14</f>
        <v>71.25</v>
      </c>
      <c r="E42" s="15"/>
      <c r="F42" s="15"/>
      <c r="G42" s="15">
        <v>0</v>
      </c>
    </row>
    <row r="43" spans="4:7">
      <c r="D43" s="15">
        <f>$B$8*$B$6+38*$B$14</f>
        <v>72.5</v>
      </c>
      <c r="E43" s="15"/>
      <c r="F43" s="15"/>
      <c r="G43" s="15">
        <v>0</v>
      </c>
    </row>
    <row r="44" spans="4:7">
      <c r="D44" s="15">
        <f>$B$8*$B$6+39*$B$14</f>
        <v>73.75</v>
      </c>
      <c r="E44" s="15"/>
      <c r="F44" s="15"/>
      <c r="G44" s="15">
        <v>0</v>
      </c>
    </row>
    <row r="45" spans="4:7">
      <c r="D45" s="15">
        <f>$B$8*$B$6+40*$B$14</f>
        <v>75.0</v>
      </c>
      <c r="E45" s="15"/>
      <c r="F45" s="15"/>
      <c r="G45" s="15">
        <v>0</v>
      </c>
    </row>
  </sheetData>
  <dataValidations count="1">
    <dataValidation type="list" allowBlank="1" showInputMessage="1" showErrorMessage="1" sqref="B5">
      <formula1>"Long Call,Short Call,Long Put,Short Put"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5"/>
  <sheetViews>
    <sheetView workbookViewId="0">
      <pane ySplit="4" topLeftCell="A5" activePane="bottomLeft" state="frozen"/>
      <selection pane="bottomLeft"/>
    </sheetView>
  </sheetViews>
  <sheetFormatPr defaultRowHeight="15"/>
  <cols>
    <col min="1" max="1" width="30.7109375" customWidth="1"/>
    <col min="2" max="2" width="14.7109375" customWidth="1"/>
    <col min="3" max="3" width="3.7109375" customWidth="1"/>
    <col min="4" max="11" width="14.7109375" customWidth="1"/>
  </cols>
  <sheetData>
    <row r="1" spans="1:9" ht="21" customHeight="1">
      <c r="A1" s="2" t="s">
        <v>51</v>
      </c>
    </row>
    <row r="2" spans="1:9">
      <c r="A2" s="10" t="s">
        <v>52</v>
      </c>
    </row>
    <row r="4" spans="1:9">
      <c r="A4" s="5" t="s">
        <v>53</v>
      </c>
      <c r="B4" s="5"/>
      <c r="D4" s="13" t="s">
        <v>48</v>
      </c>
      <c r="E4" s="13" t="s">
        <v>61</v>
      </c>
      <c r="F4" s="13" t="s">
        <v>62</v>
      </c>
      <c r="G4" s="13" t="s">
        <v>63</v>
      </c>
      <c r="H4" s="13" t="s">
        <v>64</v>
      </c>
      <c r="I4" s="13" t="s">
        <v>50</v>
      </c>
    </row>
    <row r="5" spans="1:9">
      <c r="A5" s="4" t="s">
        <v>37</v>
      </c>
      <c r="B5" s="14" t="s">
        <v>38</v>
      </c>
      <c r="D5" s="15">
        <f>$B$15*$B$6+0*$B$20</f>
        <v>25.0</v>
      </c>
      <c r="E5" s="15"/>
      <c r="F5" s="15"/>
      <c r="G5" s="15"/>
      <c r="H5" s="15"/>
      <c r="I5" s="15">
        <v>0</v>
      </c>
    </row>
    <row r="6" spans="1:9">
      <c r="A6" s="4" t="s">
        <v>54</v>
      </c>
      <c r="B6" s="16">
        <v>50</v>
      </c>
      <c r="D6" s="15">
        <f>$B$15*$B$6+1*$B$20</f>
        <v>26.25</v>
      </c>
      <c r="E6" s="15"/>
      <c r="F6" s="15"/>
      <c r="G6" s="15"/>
      <c r="H6" s="15"/>
      <c r="I6" s="15">
        <v>0</v>
      </c>
    </row>
    <row r="7" spans="1:9">
      <c r="A7" s="4" t="s">
        <v>40</v>
      </c>
      <c r="B7" s="16">
        <v>4</v>
      </c>
      <c r="D7" s="15">
        <f>$B$15*$B$6+2*$B$20</f>
        <v>27.5</v>
      </c>
      <c r="E7" s="15"/>
      <c r="F7" s="15"/>
      <c r="G7" s="15"/>
      <c r="H7" s="15"/>
      <c r="I7" s="15">
        <v>0</v>
      </c>
    </row>
    <row r="8" spans="1:9">
      <c r="D8" s="15">
        <f>$B$15*$B$6+3*$B$20</f>
        <v>28.75</v>
      </c>
      <c r="E8" s="15"/>
      <c r="F8" s="15"/>
      <c r="G8" s="15"/>
      <c r="H8" s="15"/>
      <c r="I8" s="15">
        <v>0</v>
      </c>
    </row>
    <row r="9" spans="1:9">
      <c r="A9" s="5" t="s">
        <v>55</v>
      </c>
      <c r="B9" s="5"/>
      <c r="D9" s="15">
        <f>$B$15*$B$6+4*$B$20</f>
        <v>30.0</v>
      </c>
      <c r="E9" s="15"/>
      <c r="F9" s="15"/>
      <c r="G9" s="15"/>
      <c r="H9" s="15"/>
      <c r="I9" s="15">
        <v>0</v>
      </c>
    </row>
    <row r="10" spans="1:9">
      <c r="A10" s="4" t="s">
        <v>37</v>
      </c>
      <c r="B10" s="14" t="s">
        <v>56</v>
      </c>
      <c r="D10" s="15">
        <f>$B$15*$B$6+5*$B$20</f>
        <v>31.25</v>
      </c>
      <c r="E10" s="15"/>
      <c r="F10" s="15"/>
      <c r="G10" s="15"/>
      <c r="H10" s="15"/>
      <c r="I10" s="15">
        <v>0</v>
      </c>
    </row>
    <row r="11" spans="1:9">
      <c r="A11" s="4" t="s">
        <v>54</v>
      </c>
      <c r="B11" s="16">
        <v>60</v>
      </c>
      <c r="D11" s="15">
        <f>$B$15*$B$6+6*$B$20</f>
        <v>32.5</v>
      </c>
      <c r="E11" s="15"/>
      <c r="F11" s="15"/>
      <c r="G11" s="15"/>
      <c r="H11" s="15"/>
      <c r="I11" s="15">
        <v>0</v>
      </c>
    </row>
    <row r="12" spans="1:9">
      <c r="A12" s="4" t="s">
        <v>40</v>
      </c>
      <c r="B12" s="16">
        <v>1.5</v>
      </c>
      <c r="D12" s="15">
        <f>$B$15*$B$6+7*$B$20</f>
        <v>33.75</v>
      </c>
      <c r="E12" s="15"/>
      <c r="F12" s="15"/>
      <c r="G12" s="15"/>
      <c r="H12" s="15"/>
      <c r="I12" s="15">
        <v>0</v>
      </c>
    </row>
    <row r="13" spans="1:9">
      <c r="D13" s="15">
        <f>$B$15*$B$6+8*$B$20</f>
        <v>35.0</v>
      </c>
      <c r="E13" s="15"/>
      <c r="F13" s="15"/>
      <c r="G13" s="15"/>
      <c r="H13" s="15"/>
      <c r="I13" s="15">
        <v>0</v>
      </c>
    </row>
    <row r="14" spans="1:9">
      <c r="A14" s="5" t="s">
        <v>57</v>
      </c>
      <c r="B14" s="5"/>
      <c r="D14" s="15">
        <f>$B$15*$B$6+9*$B$20</f>
        <v>36.25</v>
      </c>
      <c r="E14" s="15"/>
      <c r="F14" s="15"/>
      <c r="G14" s="15"/>
      <c r="H14" s="15"/>
      <c r="I14" s="15">
        <v>0</v>
      </c>
    </row>
    <row r="15" spans="1:9">
      <c r="A15" s="4" t="s">
        <v>58</v>
      </c>
      <c r="B15" s="17">
        <v>0.5</v>
      </c>
      <c r="D15" s="15">
        <f>$B$15*$B$6+10*$B$20</f>
        <v>37.5</v>
      </c>
      <c r="E15" s="15"/>
      <c r="F15" s="15"/>
      <c r="G15" s="15"/>
      <c r="H15" s="15"/>
      <c r="I15" s="15">
        <v>0</v>
      </c>
    </row>
    <row r="16" spans="1:9">
      <c r="A16" s="4" t="s">
        <v>59</v>
      </c>
      <c r="B16" s="17">
        <v>1.5</v>
      </c>
      <c r="D16" s="15">
        <f>$B$15*$B$6+11*$B$20</f>
        <v>38.75</v>
      </c>
      <c r="E16" s="15"/>
      <c r="F16" s="15"/>
      <c r="G16" s="15"/>
      <c r="H16" s="15"/>
      <c r="I16" s="15">
        <v>0</v>
      </c>
    </row>
    <row r="17" spans="1:9">
      <c r="D17" s="15">
        <f>$B$15*$B$6+12*$B$20</f>
        <v>40.0</v>
      </c>
      <c r="E17" s="15"/>
      <c r="F17" s="15"/>
      <c r="G17" s="15"/>
      <c r="H17" s="15"/>
      <c r="I17" s="15">
        <v>0</v>
      </c>
    </row>
    <row r="18" spans="1:9">
      <c r="A18" s="5" t="s">
        <v>43</v>
      </c>
      <c r="B18" s="5"/>
      <c r="D18" s="15">
        <f>$B$15*$B$6+13*$B$20</f>
        <v>41.25</v>
      </c>
      <c r="E18" s="15"/>
      <c r="F18" s="15"/>
      <c r="G18" s="15"/>
      <c r="H18" s="15"/>
      <c r="I18" s="15">
        <v>0</v>
      </c>
    </row>
    <row r="19" spans="1:9">
      <c r="A19" s="4" t="s">
        <v>60</v>
      </c>
      <c r="B19" s="20">
        <f>IF(LEFT($B$5,4)="Long",$B$7,-$B$7)+IF(LEFT($B$10,4)="Long",$B$12,-$B$12)</f>
        <v>2.5</v>
      </c>
      <c r="D19" s="15">
        <f>$B$15*$B$6+14*$B$20</f>
        <v>42.5</v>
      </c>
      <c r="E19" s="15"/>
      <c r="F19" s="15"/>
      <c r="G19" s="15"/>
      <c r="H19" s="15"/>
      <c r="I19" s="15">
        <v>0</v>
      </c>
    </row>
    <row r="20" spans="1:9">
      <c r="A20" s="4" t="s">
        <v>46</v>
      </c>
      <c r="B20" s="19">
        <f>($B$16-$B$15)*$B$6/40</f>
        <v>1.25</v>
      </c>
      <c r="D20" s="15">
        <f>$B$15*$B$6+15*$B$20</f>
        <v>43.75</v>
      </c>
      <c r="E20" s="15"/>
      <c r="F20" s="15"/>
      <c r="G20" s="15"/>
      <c r="H20" s="15"/>
      <c r="I20" s="15">
        <v>0</v>
      </c>
    </row>
    <row r="21" spans="1:9">
      <c r="D21" s="15">
        <f>$B$15*$B$6+16*$B$20</f>
        <v>45.0</v>
      </c>
      <c r="E21" s="15"/>
      <c r="F21" s="15"/>
      <c r="G21" s="15"/>
      <c r="H21" s="15"/>
      <c r="I21" s="15">
        <v>0</v>
      </c>
    </row>
    <row r="22" spans="1:9">
      <c r="D22" s="15">
        <f>$B$15*$B$6+17*$B$20</f>
        <v>46.25</v>
      </c>
      <c r="E22" s="15"/>
      <c r="F22" s="15"/>
      <c r="G22" s="15"/>
      <c r="H22" s="15"/>
      <c r="I22" s="15">
        <v>0</v>
      </c>
    </row>
    <row r="23" spans="1:9">
      <c r="D23" s="15">
        <f>$B$15*$B$6+18*$B$20</f>
        <v>47.5</v>
      </c>
      <c r="E23" s="15"/>
      <c r="F23" s="15"/>
      <c r="G23" s="15"/>
      <c r="H23" s="15"/>
      <c r="I23" s="15">
        <v>0</v>
      </c>
    </row>
    <row r="24" spans="1:9">
      <c r="D24" s="15">
        <f>$B$15*$B$6+19*$B$20</f>
        <v>48.75</v>
      </c>
      <c r="E24" s="15"/>
      <c r="F24" s="15"/>
      <c r="G24" s="15"/>
      <c r="H24" s="15"/>
      <c r="I24" s="15">
        <v>0</v>
      </c>
    </row>
    <row r="25" spans="1:9">
      <c r="D25" s="15">
        <f>$B$15*$B$6+20*$B$20</f>
        <v>50.0</v>
      </c>
      <c r="E25" s="15"/>
      <c r="F25" s="15"/>
      <c r="G25" s="15"/>
      <c r="H25" s="15"/>
      <c r="I25" s="15">
        <v>0</v>
      </c>
    </row>
    <row r="26" spans="1:9">
      <c r="D26" s="15">
        <f>$B$15*$B$6+21*$B$20</f>
        <v>51.25</v>
      </c>
      <c r="E26" s="15"/>
      <c r="F26" s="15"/>
      <c r="G26" s="15"/>
      <c r="H26" s="15"/>
      <c r="I26" s="15">
        <v>0</v>
      </c>
    </row>
    <row r="27" spans="1:9">
      <c r="D27" s="15">
        <f>$B$15*$B$6+22*$B$20</f>
        <v>52.5</v>
      </c>
      <c r="E27" s="15"/>
      <c r="F27" s="15"/>
      <c r="G27" s="15"/>
      <c r="H27" s="15"/>
      <c r="I27" s="15">
        <v>0</v>
      </c>
    </row>
    <row r="28" spans="1:9">
      <c r="D28" s="15">
        <f>$B$15*$B$6+23*$B$20</f>
        <v>53.75</v>
      </c>
      <c r="E28" s="15"/>
      <c r="F28" s="15"/>
      <c r="G28" s="15"/>
      <c r="H28" s="15"/>
      <c r="I28" s="15">
        <v>0</v>
      </c>
    </row>
    <row r="29" spans="1:9">
      <c r="D29" s="15">
        <f>$B$15*$B$6+24*$B$20</f>
        <v>55.0</v>
      </c>
      <c r="E29" s="15"/>
      <c r="F29" s="15"/>
      <c r="G29" s="15"/>
      <c r="H29" s="15"/>
      <c r="I29" s="15">
        <v>0</v>
      </c>
    </row>
    <row r="30" spans="1:9">
      <c r="D30" s="15">
        <f>$B$15*$B$6+25*$B$20</f>
        <v>56.25</v>
      </c>
      <c r="E30" s="15"/>
      <c r="F30" s="15"/>
      <c r="G30" s="15"/>
      <c r="H30" s="15"/>
      <c r="I30" s="15">
        <v>0</v>
      </c>
    </row>
    <row r="31" spans="1:9">
      <c r="D31" s="15">
        <f>$B$15*$B$6+26*$B$20</f>
        <v>57.5</v>
      </c>
      <c r="E31" s="15"/>
      <c r="F31" s="15"/>
      <c r="G31" s="15"/>
      <c r="H31" s="15"/>
      <c r="I31" s="15">
        <v>0</v>
      </c>
    </row>
    <row r="32" spans="1:9">
      <c r="D32" s="15">
        <f>$B$15*$B$6+27*$B$20</f>
        <v>58.75</v>
      </c>
      <c r="E32" s="15"/>
      <c r="F32" s="15"/>
      <c r="G32" s="15"/>
      <c r="H32" s="15"/>
      <c r="I32" s="15">
        <v>0</v>
      </c>
    </row>
    <row r="33" spans="4:9">
      <c r="D33" s="15">
        <f>$B$15*$B$6+28*$B$20</f>
        <v>60.0</v>
      </c>
      <c r="E33" s="15"/>
      <c r="F33" s="15"/>
      <c r="G33" s="15"/>
      <c r="H33" s="15"/>
      <c r="I33" s="15">
        <v>0</v>
      </c>
    </row>
    <row r="34" spans="4:9">
      <c r="D34" s="15">
        <f>$B$15*$B$6+29*$B$20</f>
        <v>61.25</v>
      </c>
      <c r="E34" s="15"/>
      <c r="F34" s="15"/>
      <c r="G34" s="15"/>
      <c r="H34" s="15"/>
      <c r="I34" s="15">
        <v>0</v>
      </c>
    </row>
    <row r="35" spans="4:9">
      <c r="D35" s="15">
        <f>$B$15*$B$6+30*$B$20</f>
        <v>62.5</v>
      </c>
      <c r="E35" s="15"/>
      <c r="F35" s="15"/>
      <c r="G35" s="15"/>
      <c r="H35" s="15"/>
      <c r="I35" s="15">
        <v>0</v>
      </c>
    </row>
    <row r="36" spans="4:9">
      <c r="D36" s="15">
        <f>$B$15*$B$6+31*$B$20</f>
        <v>63.75</v>
      </c>
      <c r="E36" s="15"/>
      <c r="F36" s="15"/>
      <c r="G36" s="15"/>
      <c r="H36" s="15"/>
      <c r="I36" s="15">
        <v>0</v>
      </c>
    </row>
    <row r="37" spans="4:9">
      <c r="D37" s="15">
        <f>$B$15*$B$6+32*$B$20</f>
        <v>65.0</v>
      </c>
      <c r="E37" s="15"/>
      <c r="F37" s="15"/>
      <c r="G37" s="15"/>
      <c r="H37" s="15"/>
      <c r="I37" s="15">
        <v>0</v>
      </c>
    </row>
    <row r="38" spans="4:9">
      <c r="D38" s="15">
        <f>$B$15*$B$6+33*$B$20</f>
        <v>66.25</v>
      </c>
      <c r="E38" s="15"/>
      <c r="F38" s="15"/>
      <c r="G38" s="15"/>
      <c r="H38" s="15"/>
      <c r="I38" s="15">
        <v>0</v>
      </c>
    </row>
    <row r="39" spans="4:9">
      <c r="D39" s="15">
        <f>$B$15*$B$6+34*$B$20</f>
        <v>67.5</v>
      </c>
      <c r="E39" s="15"/>
      <c r="F39" s="15"/>
      <c r="G39" s="15"/>
      <c r="H39" s="15"/>
      <c r="I39" s="15">
        <v>0</v>
      </c>
    </row>
    <row r="40" spans="4:9">
      <c r="D40" s="15">
        <f>$B$15*$B$6+35*$B$20</f>
        <v>68.75</v>
      </c>
      <c r="E40" s="15"/>
      <c r="F40" s="15"/>
      <c r="G40" s="15"/>
      <c r="H40" s="15"/>
      <c r="I40" s="15">
        <v>0</v>
      </c>
    </row>
    <row r="41" spans="4:9">
      <c r="D41" s="15">
        <f>$B$15*$B$6+36*$B$20</f>
        <v>70.0</v>
      </c>
      <c r="E41" s="15"/>
      <c r="F41" s="15"/>
      <c r="G41" s="15"/>
      <c r="H41" s="15"/>
      <c r="I41" s="15">
        <v>0</v>
      </c>
    </row>
    <row r="42" spans="4:9">
      <c r="D42" s="15">
        <f>$B$15*$B$6+37*$B$20</f>
        <v>71.25</v>
      </c>
      <c r="E42" s="15"/>
      <c r="F42" s="15"/>
      <c r="G42" s="15"/>
      <c r="H42" s="15"/>
      <c r="I42" s="15">
        <v>0</v>
      </c>
    </row>
    <row r="43" spans="4:9">
      <c r="D43" s="15">
        <f>$B$15*$B$6+38*$B$20</f>
        <v>72.5</v>
      </c>
      <c r="E43" s="15"/>
      <c r="F43" s="15"/>
      <c r="G43" s="15"/>
      <c r="H43" s="15"/>
      <c r="I43" s="15">
        <v>0</v>
      </c>
    </row>
    <row r="44" spans="4:9">
      <c r="D44" s="15">
        <f>$B$15*$B$6+39*$B$20</f>
        <v>73.75</v>
      </c>
      <c r="E44" s="15"/>
      <c r="F44" s="15"/>
      <c r="G44" s="15"/>
      <c r="H44" s="15"/>
      <c r="I44" s="15">
        <v>0</v>
      </c>
    </row>
    <row r="45" spans="4:9">
      <c r="D45" s="15">
        <f>$B$15*$B$6+40*$B$20</f>
        <v>75.0</v>
      </c>
      <c r="E45" s="15"/>
      <c r="F45" s="15"/>
      <c r="G45" s="15"/>
      <c r="H45" s="15"/>
      <c r="I45" s="15">
        <v>0</v>
      </c>
    </row>
  </sheetData>
  <dataValidations count="2">
    <dataValidation type="list" allowBlank="1" showInputMessage="1" showErrorMessage="1" sqref="B5">
      <formula1>"Long Call,Short Call,Long Put,Short Put"</formula1>
    </dataValidation>
    <dataValidation type="list" allowBlank="1" showInputMessage="1" showErrorMessage="1" sqref="B10">
      <formula1>"Long Call,Short Call,Long Put,Short Put"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About</vt:lpstr>
      <vt:lpstr>Payoff</vt:lpstr>
      <vt:lpstr>Two Legs</vt:lpstr>
    </vt:vector>
  </TitlesOfParts>
  <Company>akram.education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 Ayyash</dc:creator>
  <dc:description>My own material, free to use for learning. Not an official FGCU document.</dc:description>
  <cp:lastModifiedBy>Akram Ayyash</cp:lastModifiedBy>
  <dcterms:created xsi:type="dcterms:W3CDTF">2026-10-09T19:10:09Z</dcterms:created>
  <dcterms:modified xsi:type="dcterms:W3CDTF">2026-10-09T19:10:09Z</dcterms:modified>
</cp:coreProperties>
</file>